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<sst xmlns="http://schemas.openxmlformats.org/spreadsheetml/2006/main" count="1235" uniqueCount="291">
  <si>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</si>
  <si>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</si>
  <si>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</si>
  <si>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</si>
  <si>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</si>
  <si>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</si>
  <si>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</si>
  <si>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</si>
  <si>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</si>
  <si>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</si>
  <si>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</si>
  <si>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</si>
  <si>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</si>
  <si>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</si>
  <si>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</si>
  <si>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</si>
  <si>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</si>
  <si>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</si>
  <si>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</si>
  <si>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</si>
  <si>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</si>
  <si>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</si>
  <si>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</si>
  <si>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</si>
  <si>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</si>
  <si>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</si>
  <si>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</si>
  <si>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</si>
  <si>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</si>
  <si>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</si>
  <si>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</si>
  <si>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</si>
  <si>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</si>
  <si>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</si>
  <si>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</si>
  <si>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</si>
  <si>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</si>
  <si>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</si>
  <si>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</si>
  <si>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</si>
  <si>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</si>
  <si>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</si>
  <si>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</si>
  <si>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</si>
  <si>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</si>
  <si>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</si>
  <si>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</si>
  <si>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</si>
  <si>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</si>
  <si>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</si>
  <si>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</si>
  <si>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</si>
  <si>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</si>
  <si>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</si>
  <si>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</si>
  <si>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</si>
  <si>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</si>
  <si>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</si>
  <si>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</si>
  <si>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</si>
  <si>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</si>
  <si>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</si>
  <si>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</si>
  <si>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</si>
  <si>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</si>
  <si>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</si>
  <si>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</si>
  <si>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</si>
  <si>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</si>
  <si>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</si>
  <si>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</si>
  <si>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</si>
  <si>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</si>
  <si>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</si>
  <si>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</si>
  <si>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</si>
  <si>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</si>
  <si>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</si>
  <si>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</si>
  <si>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</si>
  <si>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</si>
  <si>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</si>
  <si>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</si>
  <si>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</si>
  <si>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</si>
  <si>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</si>
  <si>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</si>
  <si>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</si>
  <si>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</si>
  <si>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</si>
  <si>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</si>
  <si>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</si>
  <si>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</si>
  <si>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</si>
  <si>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</si>
  <si>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</si>
  <si>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</si>
  <si>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</si>
  <si>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</si>
  <si>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</si>
  <si>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</si>
  <si>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</si>
  <si>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</si>
  <si>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</si>
  <si>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</si>
  <si>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</si>
  <si>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</si>
  <si>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</si>
  <si>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</si>
  <si>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</si>
  <si>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</si>
  <si>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</si>
  <si>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</si>
  <si>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</si>
  <si>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</si>
  <si>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</si>
  <si>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</si>
  <si>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</si>
  <si>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</si>
  <si>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</si>
  <si>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</si>
  <si>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</si>
  <si>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</si>
  <si>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</si>
  <si>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</si>
  <si>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</si>
  <si>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</si>
  <si>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</si>
  <si>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</si>
  <si>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</si>
  <si>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</si>
  <si>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</si>
  <si>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</si>
  <si>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</si>
  <si>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</si>
  <si>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</si>
  <si>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</si>
  <si>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</si>
  <si>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</si>
  <si>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</si>
  <si>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</si>
  <si>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</si>
  <si>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</si>
  <si>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</si>
  <si>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</si>
  <si>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</si>
  <si>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</si>
  <si>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</si>
  <si>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</si>
  <si>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</si>
  <si>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</si>
  <si>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</si>
  <si>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</si>
  <si>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</si>
  <si>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</si>
  <si>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</si>
  <si>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</si>
  <si>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</si>
  <si>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</si>
  <si>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</si>
  <si>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</si>
  <si>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</si>
  <si>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</si>
  <si>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</si>
  <si>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</si>
  <si>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</si>
  <si>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</si>
  <si>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</si>
  <si>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</si>
  <si>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</si>
  <si>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</si>
  <si>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</si>
  <si>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</si>
  <si>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</si>
  <si>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</si>
  <si>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</si>
  <si>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</si>
  <si>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</si>
  <si>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</si>
  <si>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</si>
  <si>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</si>
  <si>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</si>
  <si>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</si>
  <si>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</si>
  <si>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</si>
  <si>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</si>
  <si>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</si>
  <si>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</si>
  <si>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</si>
  <si>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</si>
  <si>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</si>
  <si>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</si>
  <si>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</si>
  <si>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</si>
  <si>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</si>
  <si>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</si>
  <si>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</si>
  <si>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</si>
  <si>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</si>
  <si>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</si>
  <si>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</si>
  <si>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</si>
  <si>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</si>
  <si>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</si>
  <si>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</si>
  <si>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</si>
  <si>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</si>
  <si>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</si>
  <si>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</si>
  <si>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</si>
  <si>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</si>
  <si>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</si>
  <si>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</si>
  <si>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</si>
  <si>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</si>
  <si>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</si>
  <si>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</si>
  <si>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</si>
  <si>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</si>
  <si>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</si>
  <si>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</si>
  <si>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</si>
  <si>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</si>
  <si>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</si>
  <si>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</si>
  <si>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</si>
  <si>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</si>
  <si>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</si>
  <si>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</si>
  <si>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</si>
  <si>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</si>
  <si>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</si>
  <si>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</si>
  <si>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</si>
  <si>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</si>
  <si>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</si>
  <si>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</si>
  <si>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</si>
  <si>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</si>
  <si>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</si>
  <si>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</si>
  <si>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</si>
  <si>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</si>
  <si>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</si>
  <si>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</si>
  <si>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</si>
  <si>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</si>
  <si>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</si>
  <si>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</si>
  <si>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</si>
  <si>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</si>
  <si>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</si>
  <si>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</si>
  <si>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</si>
  <si>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</si>
  <si>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</si>
  <si>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</si>
  <si>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</si>
  <si>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</si>
  <si>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</si>
  <si>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</si>
  <si>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</si>
  <si>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</si>
  <si>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</si>
  <si>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</si>
  <si>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</si>
  <si>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</si>
  <si>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</si>
  <si>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</si>
  <si>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</si>
  <si>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</si>
  <si>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</si>
  <si>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</si>
  <si>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</si>
  <si>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</si>
  <si>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</si>
  <si>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</si>
  <si>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</si>
  <si>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</si>
  <si>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</si>
  <si>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</si>
  <si>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</si>
  <si>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02.07.2015</t>
    </r>
    <r>
      <rPr>
        <b/>
        <sz val="16"/>
        <rFont val="Times New Roman"/>
        <family val="1"/>
      </rPr>
      <t>р.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</si>
  <si>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</si>
  <si>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</si>
  <si>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</si>
  <si>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</si>
  <si>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01.07.15 </t>
    </r>
    <r>
      <rPr>
        <b/>
        <sz val="10"/>
        <rFont val="Times New Roman"/>
        <family val="1"/>
      </rPr>
      <t>включно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</si>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</sst>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91" sqref="H9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282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286</v>
      </c>
      <c r="N3" s="244" t="s">
        <v>288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283</v>
      </c>
      <c r="F4" s="227" t="s">
        <v>116</v>
      </c>
      <c r="G4" s="229" t="s">
        <v>284</v>
      </c>
      <c r="H4" s="231" t="s">
        <v>285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287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289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328348.39999999997</v>
      </c>
      <c r="F8" s="18">
        <f>F9+F15+F18+F19+F20+F32+F17</f>
        <v>306080.51999999996</v>
      </c>
      <c r="G8" s="18">
        <f aca="true" t="shared" si="0" ref="G8:G54">F8-E8</f>
        <v>-22267.880000000005</v>
      </c>
      <c r="H8" s="45">
        <f>F8/E8*100</f>
        <v>93.21821577324573</v>
      </c>
      <c r="I8" s="31">
        <f aca="true" t="shared" si="1" ref="I8:I54">F8-D8</f>
        <v>-211348.48000000004</v>
      </c>
      <c r="J8" s="31">
        <f aca="true" t="shared" si="2" ref="J8:J14">F8/D8*100</f>
        <v>59.15411003248754</v>
      </c>
      <c r="K8" s="18">
        <f>K9+K15+K18+K19+K20+K32</f>
        <v>28769.293999999998</v>
      </c>
      <c r="L8" s="18"/>
      <c r="M8" s="18">
        <f>M9+M15+M18+M19+M20+M32+M17</f>
        <v>46752</v>
      </c>
      <c r="N8" s="18">
        <f>N9+N15+N18+N19+N20+N32+N17</f>
        <v>961.404999999982</v>
      </c>
      <c r="O8" s="31">
        <f aca="true" t="shared" si="3" ref="O8:O54">N8-M8</f>
        <v>-45790.595000000016</v>
      </c>
      <c r="P8" s="31">
        <f>F8/M8*100</f>
        <v>654.689681724846</v>
      </c>
      <c r="Q8" s="31">
        <f>N8-33748.16</f>
        <v>-32786.75500000002</v>
      </c>
      <c r="R8" s="125">
        <f>N8/33748.16</f>
        <v>0.028487627177303354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171986.61</v>
      </c>
      <c r="G9" s="43">
        <f t="shared" si="0"/>
        <v>-16318.040000000008</v>
      </c>
      <c r="H9" s="35">
        <f aca="true" t="shared" si="4" ref="H9:H32">F9/E9*100</f>
        <v>91.33423417849744</v>
      </c>
      <c r="I9" s="50">
        <f t="shared" si="1"/>
        <v>-140703.39</v>
      </c>
      <c r="J9" s="50">
        <f t="shared" si="2"/>
        <v>55.00227381751894</v>
      </c>
      <c r="K9" s="132">
        <f>F9-217885.62/75*60</f>
        <v>-2321.8859999999986</v>
      </c>
      <c r="L9" s="132">
        <f>F9/(217885.62/75*60)*100</f>
        <v>98.66794444718289</v>
      </c>
      <c r="M9" s="35">
        <f>E9-червень!E9</f>
        <v>28146</v>
      </c>
      <c r="N9" s="35">
        <f>F9-червень!F9</f>
        <v>606.8899999999849</v>
      </c>
      <c r="O9" s="47">
        <f t="shared" si="3"/>
        <v>-27539.110000000015</v>
      </c>
      <c r="P9" s="50">
        <f aca="true" t="shared" si="5" ref="P9:P32">N9/M9*100</f>
        <v>2.1562211326653338</v>
      </c>
      <c r="Q9" s="132">
        <f>N9-26568.11</f>
        <v>-25961.220000000016</v>
      </c>
      <c r="R9" s="133">
        <f>N9/26568.11</f>
        <v>0.02284279913023489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152685.43</v>
      </c>
      <c r="G10" s="135">
        <f t="shared" si="0"/>
        <v>-12544.820000000007</v>
      </c>
      <c r="H10" s="137">
        <f t="shared" si="4"/>
        <v>92.40767353435584</v>
      </c>
      <c r="I10" s="136">
        <f t="shared" si="1"/>
        <v>-87724.57</v>
      </c>
      <c r="J10" s="136">
        <f t="shared" si="2"/>
        <v>63.51043217836197</v>
      </c>
      <c r="K10" s="138">
        <f>F10-193695.6/75*60</f>
        <v>-2271.0500000000175</v>
      </c>
      <c r="L10" s="138">
        <f>F10/(193695.6/75*60)*100</f>
        <v>98.53439494753623</v>
      </c>
      <c r="M10" s="35">
        <f>E10-червень!E10</f>
        <v>23736</v>
      </c>
      <c r="N10" s="35">
        <f>F10-червень!F10</f>
        <v>458.52999999999884</v>
      </c>
      <c r="O10" s="138">
        <f t="shared" si="3"/>
        <v>-23277.47</v>
      </c>
      <c r="P10" s="136">
        <f t="shared" si="5"/>
        <v>1.9317913717559774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9213.1</v>
      </c>
      <c r="G11" s="135">
        <f t="shared" si="0"/>
        <v>-3494.8999999999996</v>
      </c>
      <c r="H11" s="137">
        <f t="shared" si="4"/>
        <v>72.4984261882279</v>
      </c>
      <c r="I11" s="136">
        <f t="shared" si="1"/>
        <v>-14486.9</v>
      </c>
      <c r="J11" s="136">
        <f t="shared" si="2"/>
        <v>38.87383966244726</v>
      </c>
      <c r="K11" s="138">
        <f>F11-13818.75/75*60</f>
        <v>-1841.8999999999996</v>
      </c>
      <c r="L11" s="138">
        <f>F11/(13818.75/75*60)*100</f>
        <v>83.33876074174582</v>
      </c>
      <c r="M11" s="35">
        <f>E11-червень!E11</f>
        <v>1920</v>
      </c>
      <c r="N11" s="35">
        <f>F11-червень!F11</f>
        <v>0</v>
      </c>
      <c r="O11" s="138">
        <f t="shared" si="3"/>
        <v>-1920</v>
      </c>
      <c r="P11" s="136">
        <f t="shared" si="5"/>
        <v>0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2619.09</v>
      </c>
      <c r="G12" s="135">
        <f t="shared" si="0"/>
        <v>-209.90999999999985</v>
      </c>
      <c r="H12" s="137">
        <f t="shared" si="4"/>
        <v>92.58006362672323</v>
      </c>
      <c r="I12" s="136">
        <f t="shared" si="1"/>
        <v>-3180.91</v>
      </c>
      <c r="J12" s="136">
        <f t="shared" si="2"/>
        <v>45.156724137931036</v>
      </c>
      <c r="K12" s="138">
        <f>F12-4382.58/75*60</f>
        <v>-886.9739999999997</v>
      </c>
      <c r="L12" s="138">
        <f>F12/(4382.58*60)*100</f>
        <v>0.9960228906260696</v>
      </c>
      <c r="M12" s="35">
        <f>E12-червень!E12</f>
        <v>330</v>
      </c>
      <c r="N12" s="35">
        <f>F12-червень!F12</f>
        <v>26.559999999999945</v>
      </c>
      <c r="O12" s="138">
        <f t="shared" si="3"/>
        <v>-303.44000000000005</v>
      </c>
      <c r="P12" s="136">
        <f t="shared" si="5"/>
        <v>8.048484848484833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2905.21</v>
      </c>
      <c r="G13" s="135">
        <f t="shared" si="0"/>
        <v>-2208.1899999999996</v>
      </c>
      <c r="H13" s="137">
        <f t="shared" si="4"/>
        <v>56.81562169984746</v>
      </c>
      <c r="I13" s="136">
        <f t="shared" si="1"/>
        <v>-5494.79</v>
      </c>
      <c r="J13" s="136">
        <f t="shared" si="2"/>
        <v>34.58583333333333</v>
      </c>
      <c r="K13" s="138">
        <f>F13-5960.54/75*60</f>
        <v>-1863.2219999999998</v>
      </c>
      <c r="L13" s="138">
        <f>F13/(5960.54/75*60)*100</f>
        <v>60.925897653568306</v>
      </c>
      <c r="M13" s="35">
        <f>E13-червень!E13</f>
        <v>1769.9999999999995</v>
      </c>
      <c r="N13" s="35">
        <f>F13-червень!F13</f>
        <v>121.80000000000018</v>
      </c>
      <c r="O13" s="138">
        <f t="shared" si="3"/>
        <v>-1648.1999999999994</v>
      </c>
      <c r="P13" s="136">
        <f t="shared" si="5"/>
        <v>6.881355932203402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4563.77</v>
      </c>
      <c r="G14" s="135">
        <f t="shared" si="0"/>
        <v>2139.7700000000004</v>
      </c>
      <c r="H14" s="137">
        <f t="shared" si="4"/>
        <v>188.27433993399342</v>
      </c>
      <c r="I14" s="136">
        <f t="shared" si="1"/>
        <v>183.77000000000044</v>
      </c>
      <c r="J14" s="136">
        <f t="shared" si="2"/>
        <v>104.19566210045663</v>
      </c>
      <c r="K14" s="138">
        <f>F14-28.15/75*60</f>
        <v>4541.25</v>
      </c>
      <c r="L14" s="138">
        <f>F14/(28.15/75*60)*100</f>
        <v>20265.40852575489</v>
      </c>
      <c r="M14" s="35">
        <f>E14-червень!E14</f>
        <v>390</v>
      </c>
      <c r="N14" s="35">
        <f>F14-червень!F14</f>
        <v>0</v>
      </c>
      <c r="O14" s="138">
        <f t="shared" si="3"/>
        <v>-390</v>
      </c>
      <c r="P14" s="136">
        <f t="shared" si="5"/>
        <v>0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F15-349.38</f>
        <v>-1207.52</v>
      </c>
      <c r="L15" s="53">
        <f>F15/349.38*100</f>
        <v>-245.61795180033204</v>
      </c>
      <c r="M15" s="35">
        <f>E15-червень!E15</f>
        <v>0</v>
      </c>
      <c r="N15" s="35">
        <f>F15-червень!F15</f>
        <v>0</v>
      </c>
      <c r="O15" s="47">
        <f t="shared" si="3"/>
        <v>0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F16-850.64</f>
        <v>-2203.74</v>
      </c>
      <c r="L16" s="138">
        <f>F16/850.64*100</f>
        <v>-159.06846609611586</v>
      </c>
      <c r="M16" s="35">
        <f>E16-червень!E16</f>
        <v>0</v>
      </c>
      <c r="N16" s="35">
        <f>F16-червень!F16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26222.75</v>
      </c>
      <c r="F19" s="168">
        <v>30117.36</v>
      </c>
      <c r="G19" s="43">
        <f t="shared" si="0"/>
        <v>3894.6100000000006</v>
      </c>
      <c r="H19" s="35">
        <f t="shared" si="4"/>
        <v>114.85202734267001</v>
      </c>
      <c r="I19" s="50">
        <f t="shared" si="1"/>
        <v>167.36000000000058</v>
      </c>
      <c r="J19" s="178">
        <f>F19/D19*100</f>
        <v>100.5587979966611</v>
      </c>
      <c r="K19" s="179">
        <f>F19-0</f>
        <v>30117.36</v>
      </c>
      <c r="L19" s="180"/>
      <c r="M19" s="35">
        <f>E19-червень!E19</f>
        <v>2720</v>
      </c>
      <c r="N19" s="35">
        <f>F19-червень!F19</f>
        <v>0.8660000000018044</v>
      </c>
      <c r="O19" s="47">
        <f t="shared" si="3"/>
        <v>-2719.133999999998</v>
      </c>
      <c r="P19" s="50">
        <f t="shared" si="5"/>
        <v>0.03183823529418398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109634.7</v>
      </c>
      <c r="F20" s="169">
        <f>F21+F25+F27+F26</f>
        <v>100797.99</v>
      </c>
      <c r="G20" s="43">
        <f t="shared" si="0"/>
        <v>-8836.709999999992</v>
      </c>
      <c r="H20" s="35">
        <f t="shared" si="4"/>
        <v>91.93986028146199</v>
      </c>
      <c r="I20" s="50">
        <f t="shared" si="1"/>
        <v>-65972.01</v>
      </c>
      <c r="J20" s="178">
        <f aca="true" t="shared" si="6" ref="J20:J46">F20/D20*100</f>
        <v>60.44132038136356</v>
      </c>
      <c r="K20" s="178">
        <f>K21+K25+K26+K27</f>
        <v>3456.109999999998</v>
      </c>
      <c r="L20" s="136"/>
      <c r="M20" s="35">
        <f>E20-червень!E20</f>
        <v>15878.800000000003</v>
      </c>
      <c r="N20" s="35">
        <f>F20-червень!F20</f>
        <v>353.6389999999956</v>
      </c>
      <c r="O20" s="47">
        <f t="shared" si="3"/>
        <v>-15525.161000000007</v>
      </c>
      <c r="P20" s="50">
        <f t="shared" si="5"/>
        <v>2.2271141396074987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57678.2</v>
      </c>
      <c r="F21" s="169">
        <f>F22+F23+F24</f>
        <v>54922.200000000004</v>
      </c>
      <c r="G21" s="43">
        <f t="shared" si="0"/>
        <v>-2755.9999999999927</v>
      </c>
      <c r="H21" s="35">
        <f t="shared" si="4"/>
        <v>95.22176489557582</v>
      </c>
      <c r="I21" s="50">
        <f t="shared" si="1"/>
        <v>-43277.799999999996</v>
      </c>
      <c r="J21" s="178">
        <f t="shared" si="6"/>
        <v>55.92892057026477</v>
      </c>
      <c r="K21" s="178">
        <f>K22+K23+K24</f>
        <v>7560.939999999998</v>
      </c>
      <c r="L21" s="136"/>
      <c r="M21" s="35">
        <f>E21-червень!E21</f>
        <v>9321</v>
      </c>
      <c r="N21" s="35">
        <f>F21-червень!F21</f>
        <v>164.8839999999982</v>
      </c>
      <c r="O21" s="47">
        <f t="shared" si="3"/>
        <v>-9156.116000000002</v>
      </c>
      <c r="P21" s="50">
        <f t="shared" si="5"/>
        <v>1.7689518292028559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579.2</v>
      </c>
      <c r="F22" s="144">
        <v>4990.87</v>
      </c>
      <c r="G22" s="135">
        <f t="shared" si="0"/>
        <v>4411.67</v>
      </c>
      <c r="H22" s="137">
        <f t="shared" si="4"/>
        <v>861.6833563535911</v>
      </c>
      <c r="I22" s="136">
        <f t="shared" si="1"/>
        <v>3990.87</v>
      </c>
      <c r="J22" s="136">
        <f t="shared" si="6"/>
        <v>499.087</v>
      </c>
      <c r="K22" s="136">
        <f>F22-259.1</f>
        <v>4731.7699999999995</v>
      </c>
      <c r="L22" s="136">
        <f>F22/259.1*100</f>
        <v>1926.2331146275567</v>
      </c>
      <c r="M22" s="35">
        <f>E22-червень!E22</f>
        <v>213.00000000000006</v>
      </c>
      <c r="N22" s="35">
        <f>F22-червень!F22</f>
        <v>33.766999999999825</v>
      </c>
      <c r="O22" s="138">
        <f t="shared" si="3"/>
        <v>-179.23300000000023</v>
      </c>
      <c r="P22" s="136">
        <f t="shared" si="5"/>
        <v>15.853051643192401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550</v>
      </c>
      <c r="F23" s="144">
        <v>210.68</v>
      </c>
      <c r="G23" s="135">
        <f t="shared" si="0"/>
        <v>-339.32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35">
        <f>E23-червень!E23</f>
        <v>300</v>
      </c>
      <c r="N23" s="35">
        <f>F23-червень!F23</f>
        <v>0</v>
      </c>
      <c r="O23" s="138">
        <f t="shared" si="3"/>
        <v>-300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56549</v>
      </c>
      <c r="F24" s="144">
        <v>49720.65</v>
      </c>
      <c r="G24" s="135">
        <f t="shared" si="0"/>
        <v>-6828.3499999999985</v>
      </c>
      <c r="H24" s="137">
        <f t="shared" si="4"/>
        <v>87.92489699198926</v>
      </c>
      <c r="I24" s="136">
        <f t="shared" si="1"/>
        <v>-45979.35</v>
      </c>
      <c r="J24" s="136">
        <f t="shared" si="6"/>
        <v>51.954702194357374</v>
      </c>
      <c r="K24" s="139">
        <f>F24-47102.16</f>
        <v>2618.489999999998</v>
      </c>
      <c r="L24" s="139">
        <f>F24/47102.16*100</f>
        <v>105.55917180868137</v>
      </c>
      <c r="M24" s="35">
        <f>E24-червень!E24</f>
        <v>8808</v>
      </c>
      <c r="N24" s="35">
        <f>F24-червень!F24</f>
        <v>131.11699999999837</v>
      </c>
      <c r="O24" s="138">
        <f t="shared" si="3"/>
        <v>-8676.883000000002</v>
      </c>
      <c r="P24" s="136">
        <f t="shared" si="5"/>
        <v>1.4886126248864484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37.42</v>
      </c>
      <c r="G25" s="43">
        <f t="shared" si="0"/>
        <v>7.420000000000002</v>
      </c>
      <c r="H25" s="35">
        <f t="shared" si="4"/>
        <v>124.73333333333333</v>
      </c>
      <c r="I25" s="50">
        <f t="shared" si="1"/>
        <v>-32.58</v>
      </c>
      <c r="J25" s="178">
        <f t="shared" si="6"/>
        <v>53.457142857142856</v>
      </c>
      <c r="K25" s="178">
        <f>F25-34</f>
        <v>3.4200000000000017</v>
      </c>
      <c r="L25" s="178">
        <f>F25/34*100</f>
        <v>110.05882352941177</v>
      </c>
      <c r="M25" s="35">
        <f>E25-червень!E25</f>
        <v>7.800000000000001</v>
      </c>
      <c r="N25" s="35">
        <f>F25-червень!F25</f>
        <v>-0.003999999999997783</v>
      </c>
      <c r="O25" s="47">
        <f t="shared" si="3"/>
        <v>-7.8039999999999985</v>
      </c>
      <c r="P25" s="50">
        <f t="shared" si="5"/>
        <v>-0.05128205128202285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-403.36</v>
      </c>
      <c r="G26" s="43">
        <f t="shared" si="0"/>
        <v>-403.36</v>
      </c>
      <c r="H26" s="35"/>
      <c r="I26" s="50">
        <f t="shared" si="1"/>
        <v>-403.36</v>
      </c>
      <c r="J26" s="136"/>
      <c r="K26" s="178">
        <f>F26-3736.89</f>
        <v>-4140.25</v>
      </c>
      <c r="L26" s="178">
        <f>F26/3736.89*100</f>
        <v>-10.794002499404586</v>
      </c>
      <c r="M26" s="35">
        <f>E26-червень!E26</f>
        <v>0</v>
      </c>
      <c r="N26" s="35">
        <f>F26-червень!F26</f>
        <v>-0.0010000000000331966</v>
      </c>
      <c r="O26" s="47">
        <f t="shared" si="3"/>
        <v>-0.0010000000000331966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51926.5</v>
      </c>
      <c r="F27" s="168">
        <v>46241.73</v>
      </c>
      <c r="G27" s="43">
        <f t="shared" si="0"/>
        <v>-5684.769999999997</v>
      </c>
      <c r="H27" s="35">
        <f t="shared" si="4"/>
        <v>89.05227581292789</v>
      </c>
      <c r="I27" s="50">
        <f t="shared" si="1"/>
        <v>-22258.269999999997</v>
      </c>
      <c r="J27" s="178">
        <f t="shared" si="6"/>
        <v>67.50617518248175</v>
      </c>
      <c r="K27" s="132">
        <f>F27-46209.73</f>
        <v>32</v>
      </c>
      <c r="L27" s="132">
        <f>F27/46209.73*100</f>
        <v>100.06924948490285</v>
      </c>
      <c r="M27" s="35">
        <f>E27-червень!E27</f>
        <v>6550</v>
      </c>
      <c r="N27" s="35">
        <f>F27-червень!F27</f>
        <v>188.76000000000204</v>
      </c>
      <c r="O27" s="47">
        <f t="shared" si="3"/>
        <v>-6361.239999999998</v>
      </c>
      <c r="P27" s="50">
        <f t="shared" si="5"/>
        <v>2.8818320610687334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11463.15</v>
      </c>
      <c r="G29" s="135">
        <f t="shared" si="0"/>
        <v>-776.8500000000004</v>
      </c>
      <c r="H29" s="137">
        <f t="shared" si="4"/>
        <v>93.6531862745098</v>
      </c>
      <c r="I29" s="136">
        <f t="shared" si="1"/>
        <v>-5036.85</v>
      </c>
      <c r="J29" s="136">
        <f t="shared" si="6"/>
        <v>69.47363636363636</v>
      </c>
      <c r="K29" s="139">
        <f>F29-12569.54</f>
        <v>-1106.3900000000012</v>
      </c>
      <c r="L29" s="139">
        <f>F29/12569.54*100</f>
        <v>91.19784813127607</v>
      </c>
      <c r="M29" s="35">
        <f>E29-червень!E29</f>
        <v>1200</v>
      </c>
      <c r="N29" s="35">
        <f>F29-червень!F29</f>
        <v>39.98999999999978</v>
      </c>
      <c r="O29" s="138">
        <f t="shared" si="3"/>
        <v>-1160.0100000000002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34771.61</v>
      </c>
      <c r="G30" s="135">
        <f t="shared" si="0"/>
        <v>-4914.889999999999</v>
      </c>
      <c r="H30" s="137">
        <f t="shared" si="4"/>
        <v>87.61571315182745</v>
      </c>
      <c r="I30" s="136">
        <f t="shared" si="1"/>
        <v>-17228.39</v>
      </c>
      <c r="J30" s="136">
        <f t="shared" si="6"/>
        <v>66.86848076923077</v>
      </c>
      <c r="K30" s="139">
        <f>F30-33639.82</f>
        <v>1131.7900000000009</v>
      </c>
      <c r="L30" s="139">
        <f>F30/33639.82*100</f>
        <v>103.3644353626149</v>
      </c>
      <c r="M30" s="35">
        <f>E30-червень!E30</f>
        <v>5350</v>
      </c>
      <c r="N30" s="35">
        <f>F30-червень!F30</f>
        <v>148.76000000000204</v>
      </c>
      <c r="O30" s="138">
        <f t="shared" si="3"/>
        <v>-5201.239999999998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35">
        <f>E31-червень!E31</f>
        <v>0</v>
      </c>
      <c r="N31" s="35">
        <f>F31-червень!F31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4020.81</v>
      </c>
      <c r="G32" s="43">
        <f t="shared" si="0"/>
        <v>18.809999999999945</v>
      </c>
      <c r="H32" s="35">
        <f t="shared" si="4"/>
        <v>100.47001499250374</v>
      </c>
      <c r="I32" s="50">
        <f t="shared" si="1"/>
        <v>-3479.19</v>
      </c>
      <c r="J32" s="178">
        <f t="shared" si="6"/>
        <v>53.610800000000005</v>
      </c>
      <c r="K32" s="178">
        <f>F32-5308.17</f>
        <v>-1287.3600000000001</v>
      </c>
      <c r="L32" s="178">
        <f>F32/5308.17*100</f>
        <v>75.74757402268578</v>
      </c>
      <c r="M32" s="35">
        <f>E32-червень!E32</f>
        <v>7.199999999999818</v>
      </c>
      <c r="N32" s="35">
        <f>F32-червень!F32</f>
        <v>0.009999999999763531</v>
      </c>
      <c r="O32" s="47">
        <f t="shared" si="3"/>
        <v>-7.190000000000055</v>
      </c>
      <c r="P32" s="50">
        <f t="shared" si="5"/>
        <v>0.13888888888560813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7175</v>
      </c>
      <c r="F33" s="18">
        <f>F34+F35+F36+F37+F38+F41+F42+F47+F48+F52+F40+F39</f>
        <v>15971.650000000001</v>
      </c>
      <c r="G33" s="44">
        <f t="shared" si="0"/>
        <v>8796.650000000001</v>
      </c>
      <c r="H33" s="45">
        <f>F33/E33*100</f>
        <v>222.601393728223</v>
      </c>
      <c r="I33" s="31">
        <f t="shared" si="1"/>
        <v>3404.550000000001</v>
      </c>
      <c r="J33" s="31">
        <f t="shared" si="6"/>
        <v>127.09097564274974</v>
      </c>
      <c r="K33" s="18">
        <f>K34+K35+K36+K37+K38+K41+K42+K47+K48+K52+K40</f>
        <v>8529.75</v>
      </c>
      <c r="L33" s="18"/>
      <c r="M33" s="18">
        <f>M34+M35+M36+M37+M38+M41+M42+M47+M48+M52+M40+M39</f>
        <v>1057.5</v>
      </c>
      <c r="N33" s="18">
        <f>N34+N35+N36+N37+N38+N41+N42+N47+N48+N52+N40+N39</f>
        <v>98.6500000000001</v>
      </c>
      <c r="O33" s="49">
        <f t="shared" si="3"/>
        <v>-958.8499999999999</v>
      </c>
      <c r="P33" s="31">
        <f>N33/M33*100</f>
        <v>9.328605200945637</v>
      </c>
      <c r="Q33" s="31">
        <f>N33-1017.63</f>
        <v>-918.9799999999999</v>
      </c>
      <c r="R33" s="127">
        <f>N33/1017.63</f>
        <v>0.09694093137977468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105</v>
      </c>
      <c r="F34" s="143">
        <v>100.4</v>
      </c>
      <c r="G34" s="43">
        <f t="shared" si="0"/>
        <v>-4.599999999999994</v>
      </c>
      <c r="H34" s="35">
        <f>F34/E34*100</f>
        <v>95.61904761904762</v>
      </c>
      <c r="I34" s="50">
        <f t="shared" si="1"/>
        <v>-99.6</v>
      </c>
      <c r="J34" s="50">
        <f t="shared" si="6"/>
        <v>50.2</v>
      </c>
      <c r="K34" s="50">
        <f>F34-106.29</f>
        <v>-5.890000000000001</v>
      </c>
      <c r="L34" s="50">
        <f>F34/106.29*100</f>
        <v>94.45855677862451</v>
      </c>
      <c r="M34" s="35">
        <f>E34-червень!E34</f>
        <v>10</v>
      </c>
      <c r="N34" s="35">
        <f>F34-червень!F34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E36-червень!E36</f>
        <v>0</v>
      </c>
      <c r="N36" s="35">
        <f>F36-червень!F36</f>
        <v>0</v>
      </c>
      <c r="O36" s="47">
        <f t="shared" si="3"/>
        <v>0</v>
      </c>
      <c r="P36" s="50"/>
      <c r="Q36" s="50">
        <f>N36-4.23</f>
        <v>-4.23</v>
      </c>
      <c r="R36" s="126">
        <f>N36/4.23</f>
        <v>0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81.64</v>
      </c>
      <c r="G38" s="43">
        <f t="shared" si="0"/>
        <v>1.6400000000000006</v>
      </c>
      <c r="H38" s="35">
        <f>F38/E38*100</f>
        <v>102.05</v>
      </c>
      <c r="I38" s="50">
        <f t="shared" si="1"/>
        <v>-58.36</v>
      </c>
      <c r="J38" s="50">
        <f t="shared" si="6"/>
        <v>58.31428571428572</v>
      </c>
      <c r="K38" s="50">
        <f>F38-78.24</f>
        <v>3.4000000000000057</v>
      </c>
      <c r="L38" s="50">
        <f>F38/78.24*100</f>
        <v>104.34560327198366</v>
      </c>
      <c r="M38" s="35">
        <f>E38-червень!E38</f>
        <v>15</v>
      </c>
      <c r="N38" s="35">
        <f>F38-червень!F38</f>
        <v>0.01999999999999602</v>
      </c>
      <c r="O38" s="47">
        <f t="shared" si="3"/>
        <v>-14.980000000000004</v>
      </c>
      <c r="P38" s="50">
        <f>N38/M38*100</f>
        <v>0.1333333333333068</v>
      </c>
      <c r="Q38" s="50">
        <f>N38-9.02</f>
        <v>-9.000000000000004</v>
      </c>
      <c r="R38" s="126">
        <f>N38/9.02</f>
        <v>0.0022172949002212884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E39-червень!E39</f>
        <v>0</v>
      </c>
      <c r="N39" s="35">
        <f>F39-червень!F39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4989.18</v>
      </c>
      <c r="G40" s="43"/>
      <c r="H40" s="35"/>
      <c r="I40" s="50">
        <f t="shared" si="1"/>
        <v>4989.18</v>
      </c>
      <c r="J40" s="50"/>
      <c r="K40" s="50">
        <f>F40-0</f>
        <v>4989.18</v>
      </c>
      <c r="L40" s="50"/>
      <c r="M40" s="35">
        <f>E40-червень!E40</f>
        <v>0</v>
      </c>
      <c r="N40" s="35">
        <f>F40-червень!F40</f>
        <v>61.57999999999993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4302.71</v>
      </c>
      <c r="G41" s="43">
        <f t="shared" si="0"/>
        <v>232.71000000000004</v>
      </c>
      <c r="H41" s="35">
        <f>F41/E41*100</f>
        <v>105.71769041769042</v>
      </c>
      <c r="I41" s="50">
        <f t="shared" si="1"/>
        <v>-2597.29</v>
      </c>
      <c r="J41" s="50">
        <f t="shared" si="6"/>
        <v>62.35811594202899</v>
      </c>
      <c r="K41" s="50">
        <f>F41-4143.38</f>
        <v>159.32999999999993</v>
      </c>
      <c r="L41" s="50">
        <f>F41/4143.38*100</f>
        <v>103.84541123430628</v>
      </c>
      <c r="M41" s="35">
        <f>E41-червень!E41</f>
        <v>550</v>
      </c>
      <c r="N41" s="35">
        <f>F41-червень!F41</f>
        <v>0</v>
      </c>
      <c r="O41" s="47">
        <f t="shared" si="3"/>
        <v>-550</v>
      </c>
      <c r="P41" s="50">
        <f>N41/M41*100</f>
        <v>0</v>
      </c>
      <c r="Q41" s="50">
        <f>N41-647.49</f>
        <v>-647.49</v>
      </c>
      <c r="R41" s="126">
        <f>N41/647.49</f>
        <v>0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562</v>
      </c>
      <c r="F42" s="143">
        <v>4066.52</v>
      </c>
      <c r="G42" s="43">
        <f t="shared" si="0"/>
        <v>3504.52</v>
      </c>
      <c r="H42" s="35">
        <f>F42/E42*100</f>
        <v>723.5800711743773</v>
      </c>
      <c r="I42" s="50">
        <f t="shared" si="1"/>
        <v>2966.52</v>
      </c>
      <c r="J42" s="50">
        <f t="shared" si="6"/>
        <v>369.68363636363637</v>
      </c>
      <c r="K42" s="50">
        <f>F42-531.41</f>
        <v>3535.11</v>
      </c>
      <c r="L42" s="50">
        <f>F42/531.41*100</f>
        <v>765.2321183267157</v>
      </c>
      <c r="M42" s="35">
        <f>E42-червень!E42</f>
        <v>112</v>
      </c>
      <c r="N42" s="35">
        <f>F42-червень!F42</f>
        <v>33.2800000000002</v>
      </c>
      <c r="O42" s="47">
        <f t="shared" si="3"/>
        <v>-78.7199999999998</v>
      </c>
      <c r="P42" s="50">
        <f>N42/M42*100</f>
        <v>29.714285714285893</v>
      </c>
      <c r="Q42" s="50">
        <f>N42-79.51</f>
        <v>-46.229999999999805</v>
      </c>
      <c r="R42" s="126">
        <f>N42/79.51</f>
        <v>0.4185637026789108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593.81</v>
      </c>
      <c r="G43" s="135">
        <f t="shared" si="0"/>
        <v>103.80999999999995</v>
      </c>
      <c r="H43" s="137">
        <f>F43/E43*100</f>
        <v>121.18571428571427</v>
      </c>
      <c r="I43" s="136">
        <f t="shared" si="1"/>
        <v>-376.19000000000005</v>
      </c>
      <c r="J43" s="136">
        <f t="shared" si="6"/>
        <v>61.21752577319587</v>
      </c>
      <c r="K43" s="136">
        <f>F43-359.18</f>
        <v>234.62999999999994</v>
      </c>
      <c r="L43" s="136">
        <f>F43/359.18*100</f>
        <v>165.32379308424743</v>
      </c>
      <c r="M43" s="35">
        <f>E43-червень!E43</f>
        <v>100</v>
      </c>
      <c r="N43" s="35">
        <f>F43-червень!F43</f>
        <v>11.069999999999936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35">
        <f>E44-червень!E44</f>
        <v>0</v>
      </c>
      <c r="N44" s="35">
        <f>F44-червень!F44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3426.81</v>
      </c>
      <c r="G46" s="135">
        <f t="shared" si="0"/>
        <v>3354.81</v>
      </c>
      <c r="H46" s="137">
        <f>F46/E46*100</f>
        <v>4759.458333333333</v>
      </c>
      <c r="I46" s="136">
        <f t="shared" si="1"/>
        <v>3296.81</v>
      </c>
      <c r="J46" s="136">
        <f t="shared" si="6"/>
        <v>2636.007692307692</v>
      </c>
      <c r="K46" s="136">
        <f>F46-56.15</f>
        <v>3370.66</v>
      </c>
      <c r="L46" s="136">
        <f>F46/56.15*100</f>
        <v>6102.956366874444</v>
      </c>
      <c r="M46" s="35">
        <f>E46-червень!E46</f>
        <v>-8</v>
      </c>
      <c r="N46" s="35">
        <f>F46-червень!F46</f>
        <v>22.210000000000036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2239.92</v>
      </c>
      <c r="G48" s="43">
        <f t="shared" si="0"/>
        <v>-110.07999999999993</v>
      </c>
      <c r="H48" s="35">
        <f>F48/E48*100</f>
        <v>95.31574468085107</v>
      </c>
      <c r="I48" s="50">
        <f t="shared" si="1"/>
        <v>-1960.08</v>
      </c>
      <c r="J48" s="50">
        <f>F48/D48*100</f>
        <v>53.331428571428575</v>
      </c>
      <c r="K48" s="50">
        <f>F48-2346.09</f>
        <v>-106.17000000000007</v>
      </c>
      <c r="L48" s="50">
        <f>F48/2346.09*100</f>
        <v>95.47459816119586</v>
      </c>
      <c r="M48" s="35">
        <f>E48-червень!E48</f>
        <v>370</v>
      </c>
      <c r="N48" s="35">
        <f>F48-червень!F48</f>
        <v>3.769999999999982</v>
      </c>
      <c r="O48" s="47">
        <f t="shared" si="3"/>
        <v>-366.23</v>
      </c>
      <c r="P48" s="50">
        <f aca="true" t="shared" si="7" ref="P48:P53">N48/M48*100</f>
        <v>1.018918918918914</v>
      </c>
      <c r="Q48" s="50">
        <f>N48-277.38</f>
        <v>-273.61</v>
      </c>
      <c r="R48" s="126">
        <f>N48/277.38</f>
        <v>0.013591462974980106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581.1</v>
      </c>
      <c r="G51" s="135">
        <f t="shared" si="0"/>
        <v>581.1</v>
      </c>
      <c r="H51" s="137"/>
      <c r="I51" s="136">
        <f t="shared" si="1"/>
        <v>581.1</v>
      </c>
      <c r="J51" s="136"/>
      <c r="K51" s="136">
        <f>F51-469.9</f>
        <v>111.20000000000005</v>
      </c>
      <c r="L51" s="138">
        <f>F51/469.9*100</f>
        <v>123.66460949138116</v>
      </c>
      <c r="M51" s="35">
        <f>E51-червень!E51</f>
        <v>0</v>
      </c>
      <c r="N51" s="35">
        <f>F51-червень!F51</f>
        <v>2.300000000000068</v>
      </c>
      <c r="O51" s="138">
        <f t="shared" si="3"/>
        <v>2.300000000000068</v>
      </c>
      <c r="P51" s="136"/>
      <c r="Q51" s="50">
        <f>N51-64.93</f>
        <v>-62.62999999999994</v>
      </c>
      <c r="R51" s="126">
        <f>N51/64.93</f>
        <v>0.03542276297551314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6.52</v>
      </c>
      <c r="G53" s="43">
        <f t="shared" si="0"/>
        <v>-8.48</v>
      </c>
      <c r="H53" s="35">
        <f>F53/E53*100</f>
        <v>43.46666666666666</v>
      </c>
      <c r="I53" s="50">
        <f t="shared" si="1"/>
        <v>-19.98</v>
      </c>
      <c r="J53" s="50">
        <f>F53/D53*100</f>
        <v>24.603773584905657</v>
      </c>
      <c r="K53" s="50">
        <f>F53-15.43</f>
        <v>-8.91</v>
      </c>
      <c r="L53" s="50">
        <f>F53/15.43*100</f>
        <v>42.255346727154894</v>
      </c>
      <c r="M53" s="35">
        <f>E53-червень!E53</f>
        <v>2.1999999999999993</v>
      </c>
      <c r="N53" s="35">
        <f>F53-червень!F53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E54-червень!E54</f>
        <v>0</v>
      </c>
      <c r="N54" s="35">
        <f>F54-червень!F54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335538.39999999997</v>
      </c>
      <c r="F55" s="18">
        <f>F8+F33+F53+F54</f>
        <v>322058.71</v>
      </c>
      <c r="G55" s="44">
        <f>F55-E55</f>
        <v>-13479.689999999944</v>
      </c>
      <c r="H55" s="45">
        <f>F55/E55*100</f>
        <v>95.9826684516586</v>
      </c>
      <c r="I55" s="31">
        <f>F55-D55</f>
        <v>-207963.88999999996</v>
      </c>
      <c r="J55" s="31">
        <f>F55/D55*100</f>
        <v>60.76320330491568</v>
      </c>
      <c r="K55" s="31">
        <f>K8+K33+K53+K54</f>
        <v>37290.07399999999</v>
      </c>
      <c r="L55" s="31">
        <f>F55/(F55-K55)*100</f>
        <v>113.09486695016511</v>
      </c>
      <c r="M55" s="18">
        <f>M8+M33+M53+M54</f>
        <v>47811.7</v>
      </c>
      <c r="N55" s="18">
        <f>N8+N33+N53+N54</f>
        <v>1060.054999999982</v>
      </c>
      <c r="O55" s="49">
        <f>N55-M55</f>
        <v>-46751.64500000002</v>
      </c>
      <c r="P55" s="31">
        <f>N55/M55*100</f>
        <v>2.2171455940700335</v>
      </c>
      <c r="Q55" s="31">
        <f>N55-34768</f>
        <v>-33707.94500000002</v>
      </c>
      <c r="R55" s="171">
        <f>N55/34768</f>
        <v>0.030489386792452316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F61-183.34</f>
        <v>-214.38</v>
      </c>
      <c r="L61" s="53"/>
      <c r="M61" s="35">
        <v>0</v>
      </c>
      <c r="N61" s="36">
        <f>F61-червень!F61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-213.24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194.01</v>
      </c>
      <c r="G64" s="43">
        <f t="shared" si="8"/>
        <v>-205.99</v>
      </c>
      <c r="H64" s="35"/>
      <c r="I64" s="53">
        <f t="shared" si="9"/>
        <v>-2305.99</v>
      </c>
      <c r="J64" s="53">
        <f t="shared" si="11"/>
        <v>7.760399999999999</v>
      </c>
      <c r="K64" s="53">
        <f>F64-1678.13</f>
        <v>-1484.1200000000001</v>
      </c>
      <c r="L64" s="53">
        <f>F64/1678.13*100</f>
        <v>11.56108287200634</v>
      </c>
      <c r="M64" s="35">
        <f>E64-червень!E64</f>
        <v>0</v>
      </c>
      <c r="N64" s="35">
        <f>F64-червень!F64</f>
        <v>0.009999999999990905</v>
      </c>
      <c r="O64" s="47">
        <f t="shared" si="10"/>
        <v>0.009999999999990905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3257.07</v>
      </c>
      <c r="G65" s="43">
        <f t="shared" si="8"/>
        <v>-455.69000000000005</v>
      </c>
      <c r="H65" s="35">
        <f>F65/E65*100</f>
        <v>87.72638145207338</v>
      </c>
      <c r="I65" s="53">
        <f t="shared" si="9"/>
        <v>-8318.93</v>
      </c>
      <c r="J65" s="53">
        <f t="shared" si="11"/>
        <v>28.136402902557016</v>
      </c>
      <c r="K65" s="53">
        <f>F65-2235.97</f>
        <v>1021.1000000000004</v>
      </c>
      <c r="L65" s="53">
        <f>F65/2235.97*100</f>
        <v>145.66698122067828</v>
      </c>
      <c r="M65" s="35">
        <f>E65-червень!E65</f>
        <v>1213.0600000000004</v>
      </c>
      <c r="N65" s="35">
        <f>F65-червень!F65</f>
        <v>0</v>
      </c>
      <c r="O65" s="47">
        <f t="shared" si="10"/>
        <v>-1213.0600000000004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1818.42</v>
      </c>
      <c r="G66" s="43">
        <f t="shared" si="8"/>
        <v>929.82</v>
      </c>
      <c r="H66" s="35">
        <f>F66/E66*100</f>
        <v>204.6387575962188</v>
      </c>
      <c r="I66" s="53">
        <f t="shared" si="9"/>
        <v>-1181.58</v>
      </c>
      <c r="J66" s="53">
        <f t="shared" si="11"/>
        <v>60.614000000000004</v>
      </c>
      <c r="K66" s="53">
        <f>F66-764.22</f>
        <v>1054.2</v>
      </c>
      <c r="L66" s="53">
        <f>F66/764.22*100</f>
        <v>237.94457093507106</v>
      </c>
      <c r="M66" s="35">
        <f>E66-червень!E66</f>
        <v>148.10000000000002</v>
      </c>
      <c r="N66" s="35">
        <f>F66-червень!F66</f>
        <v>0</v>
      </c>
      <c r="O66" s="47">
        <f t="shared" si="10"/>
        <v>-148.10000000000002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5269.5</v>
      </c>
      <c r="G67" s="55">
        <f t="shared" si="8"/>
        <v>268.1399999999994</v>
      </c>
      <c r="H67" s="65">
        <f>F67/E67*100</f>
        <v>105.3613417150535</v>
      </c>
      <c r="I67" s="54">
        <f t="shared" si="9"/>
        <v>-11806.5</v>
      </c>
      <c r="J67" s="54">
        <f t="shared" si="11"/>
        <v>30.859100491918483</v>
      </c>
      <c r="K67" s="54">
        <f>K64+K65+K66</f>
        <v>591.1800000000003</v>
      </c>
      <c r="L67" s="54"/>
      <c r="M67" s="55">
        <f>M64+M65+M66</f>
        <v>1361.1600000000003</v>
      </c>
      <c r="N67" s="55">
        <f>N64+N65+N66</f>
        <v>0.009999999999990905</v>
      </c>
      <c r="O67" s="54">
        <f t="shared" si="10"/>
        <v>-1361.1500000000003</v>
      </c>
      <c r="P67" s="54">
        <f>N67/M67*100</f>
        <v>0.0007346674894935866</v>
      </c>
      <c r="Q67" s="54">
        <f>N67-7985.28</f>
        <v>-7985.2699999999995</v>
      </c>
      <c r="R67" s="173">
        <f>N67/7985.28</f>
        <v>1.2523042398000953E-06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E68-червень!E68</f>
        <v>0</v>
      </c>
      <c r="N68" s="35">
        <f>F68-червень!F68</f>
        <v>0</v>
      </c>
      <c r="O68" s="47">
        <f t="shared" si="10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F70-0.52</f>
        <v>0.54</v>
      </c>
      <c r="L70" s="53">
        <f>F70/0.52*100</f>
        <v>203.84615384615384</v>
      </c>
      <c r="M70" s="35">
        <f>E70-червень!E70</f>
        <v>0</v>
      </c>
      <c r="N70" s="35">
        <f>F70-червень!F70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1.06</v>
      </c>
      <c r="G71" s="55">
        <f>F71-E71</f>
        <v>-24.94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-33.11</v>
      </c>
      <c r="L71" s="54"/>
      <c r="M71" s="55">
        <f>M68+M70+M69</f>
        <v>2</v>
      </c>
      <c r="N71" s="55">
        <f>N68+N70+N69</f>
        <v>0</v>
      </c>
      <c r="O71" s="54">
        <f>N71-M71</f>
        <v>-2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19.94</v>
      </c>
      <c r="G72" s="43">
        <f>F72-E72</f>
        <v>-3.049999999999997</v>
      </c>
      <c r="H72" s="35">
        <f>F72/E72*100</f>
        <v>86.73336233144848</v>
      </c>
      <c r="I72" s="53">
        <f>F72-D72</f>
        <v>-22.06</v>
      </c>
      <c r="J72" s="53">
        <f>F72/D72*100</f>
        <v>47.476190476190474</v>
      </c>
      <c r="K72" s="53">
        <f>F72-22.4</f>
        <v>-2.4599999999999973</v>
      </c>
      <c r="L72" s="53">
        <f>F72/22.4*100</f>
        <v>89.01785714285715</v>
      </c>
      <c r="M72" s="35">
        <f>E72-червень!E72</f>
        <v>1.1999999999999993</v>
      </c>
      <c r="N72" s="35">
        <f>F72-червень!F72</f>
        <v>0</v>
      </c>
      <c r="O72" s="47">
        <f>N72-M72</f>
        <v>-1.1999999999999993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5259.66</v>
      </c>
      <c r="G74" s="44">
        <f>F74-E74</f>
        <v>209.3099999999995</v>
      </c>
      <c r="H74" s="45">
        <f>F74/E74*100</f>
        <v>104.14446523508272</v>
      </c>
      <c r="I74" s="31">
        <f>F74-D74</f>
        <v>-11912.34</v>
      </c>
      <c r="J74" s="31">
        <f>F74/D74*100</f>
        <v>30.629280223619848</v>
      </c>
      <c r="K74" s="31">
        <f>K62+K67+K71+K72</f>
        <v>342.3700000000003</v>
      </c>
      <c r="L74" s="31"/>
      <c r="M74" s="27">
        <f>M62+M72+M67+M71</f>
        <v>1364.3600000000004</v>
      </c>
      <c r="N74" s="27">
        <f>N62+N72+N67+N71+N73</f>
        <v>0.009999999999990905</v>
      </c>
      <c r="O74" s="31">
        <f>N74-M74</f>
        <v>-1364.3500000000004</v>
      </c>
      <c r="P74" s="31">
        <f>N74/M74*100</f>
        <v>0.0007329443841794616</v>
      </c>
      <c r="Q74" s="31">
        <f>N74-8104.96</f>
        <v>-8104.95</v>
      </c>
      <c r="R74" s="127">
        <f>N74/8104.96</f>
        <v>1.2338123815528892E-06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340588.74999999994</v>
      </c>
      <c r="F75" s="27">
        <f>F55+F74</f>
        <v>327318.37</v>
      </c>
      <c r="G75" s="44">
        <f>F75-E75</f>
        <v>-13270.379999999946</v>
      </c>
      <c r="H75" s="45">
        <f>F75/E75*100</f>
        <v>96.10369397110152</v>
      </c>
      <c r="I75" s="31">
        <f>F75-D75</f>
        <v>-219876.22999999998</v>
      </c>
      <c r="J75" s="31">
        <f>F75/D75*100</f>
        <v>59.81754388658075</v>
      </c>
      <c r="K75" s="31">
        <f>K55+K74</f>
        <v>37632.443999999996</v>
      </c>
      <c r="L75" s="31">
        <f>F75/(F75-K75)*100</f>
        <v>112.99077401502757</v>
      </c>
      <c r="M75" s="18">
        <f>M55+M74</f>
        <v>49176.06</v>
      </c>
      <c r="N75" s="18">
        <f>N55+N74</f>
        <v>1060.064999999982</v>
      </c>
      <c r="O75" s="31">
        <f>N75-M75</f>
        <v>-48115.99500000002</v>
      </c>
      <c r="P75" s="31">
        <f>N75/M75*100</f>
        <v>2.1556525675297737</v>
      </c>
      <c r="Q75" s="31">
        <f>N75-42872.96</f>
        <v>-41812.89500000002</v>
      </c>
      <c r="R75" s="127">
        <f>N75/42872.96</f>
        <v>0.02472572455925558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22</v>
      </c>
      <c r="D77" s="4" t="s">
        <v>118</v>
      </c>
    </row>
    <row r="78" spans="2:17" ht="31.5">
      <c r="B78" s="71" t="s">
        <v>154</v>
      </c>
      <c r="C78" s="34">
        <f>IF(O55&lt;0,ABS(O55/C77),0)</f>
        <v>2125.0747727272737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42186</v>
      </c>
      <c r="D79" s="34">
        <v>1060.1</v>
      </c>
      <c r="N79" s="207"/>
      <c r="O79" s="207"/>
    </row>
    <row r="80" spans="3:15" ht="15.75">
      <c r="C80" s="111">
        <v>42185</v>
      </c>
      <c r="D80" s="34">
        <v>6160.8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42181</v>
      </c>
      <c r="D81" s="34">
        <v>8722.4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3:13" ht="15.75" customHeight="1">
      <c r="C82" s="111"/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152867.06809000002</v>
      </c>
      <c r="E83" s="73"/>
      <c r="F83" s="156" t="s">
        <v>147</v>
      </c>
      <c r="G83" s="214" t="s">
        <v>149</v>
      </c>
      <c r="H83" s="214"/>
      <c r="I83" s="107">
        <v>143957.33588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3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41" sqref="N4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280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277</v>
      </c>
      <c r="N3" s="244" t="s">
        <v>278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279</v>
      </c>
      <c r="F4" s="227" t="s">
        <v>116</v>
      </c>
      <c r="G4" s="229" t="s">
        <v>275</v>
      </c>
      <c r="H4" s="231" t="s">
        <v>276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281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290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18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71820.961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143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144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144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144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144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144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168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169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19161.13100000001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169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14793.516000000007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144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F22-130.74</f>
        <v>4826.363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144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168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168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144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144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168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18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143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143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143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143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143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144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144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143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578.8</v>
      </c>
      <c r="G51" s="135">
        <f t="shared" si="0"/>
        <v>578.8</v>
      </c>
      <c r="H51" s="137"/>
      <c r="I51" s="136">
        <f t="shared" si="1"/>
        <v>578.8</v>
      </c>
      <c r="J51" s="136"/>
      <c r="K51" s="136">
        <f>F51-362.7</f>
        <v>216.09999999999997</v>
      </c>
      <c r="L51" s="138">
        <f>F51/362.7*100</f>
        <v>159.58092087124345</v>
      </c>
      <c r="M51" s="137">
        <f>E51-травень!E51</f>
        <v>0</v>
      </c>
      <c r="N51" s="137">
        <f>F51-травень!F51</f>
        <v>145.89999999999998</v>
      </c>
      <c r="O51" s="138">
        <f t="shared" si="3"/>
        <v>145.89999999999998</v>
      </c>
      <c r="P51" s="136"/>
      <c r="Q51" s="50">
        <f>N51-64.93</f>
        <v>80.96999999999997</v>
      </c>
      <c r="R51" s="126">
        <f>N51/64.93</f>
        <v>2.247035268750962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143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18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81348.411</v>
      </c>
      <c r="L55" s="31">
        <f>F55/(F55-K55)*100</f>
        <v>133.9446393386522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146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146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14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14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146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7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7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81886.101</v>
      </c>
      <c r="L75" s="31">
        <f>F75/(F75-K75)*100</f>
        <v>133.50876231406414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07"/>
      <c r="O79" s="207"/>
    </row>
    <row r="80" spans="3:15" ht="15.75">
      <c r="C80" s="111">
        <v>42181</v>
      </c>
      <c r="D80" s="34">
        <v>8722.4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42180</v>
      </c>
      <c r="D81" s="34">
        <v>4146.6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3:13" ht="15.75" customHeight="1">
      <c r="C82" s="111"/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152943.93305000002</v>
      </c>
      <c r="E83" s="73"/>
      <c r="F83" s="156" t="s">
        <v>147</v>
      </c>
      <c r="G83" s="214" t="s">
        <v>149</v>
      </c>
      <c r="H83" s="214"/>
      <c r="I83" s="107">
        <v>144034.20084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54" sqref="K5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274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266</v>
      </c>
      <c r="N3" s="244" t="s">
        <v>267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262</v>
      </c>
      <c r="F4" s="227" t="s">
        <v>116</v>
      </c>
      <c r="G4" s="229" t="s">
        <v>263</v>
      </c>
      <c r="H4" s="231" t="s">
        <v>264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273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265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432.9</v>
      </c>
      <c r="G51" s="135">
        <f t="shared" si="7"/>
        <v>432.9</v>
      </c>
      <c r="H51" s="137"/>
      <c r="I51" s="136">
        <f t="shared" si="8"/>
        <v>432.9</v>
      </c>
      <c r="J51" s="136"/>
      <c r="K51" s="136">
        <f>F51-290</f>
        <v>142.89999999999998</v>
      </c>
      <c r="L51" s="138">
        <f>F51/290*100</f>
        <v>149.2758620689655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07"/>
      <c r="O79" s="207"/>
    </row>
    <row r="80" spans="3:15" ht="15.75">
      <c r="C80" s="111">
        <v>42152</v>
      </c>
      <c r="D80" s="34">
        <v>5845.4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42151</v>
      </c>
      <c r="D81" s="34">
        <v>3158.7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7:13" ht="15.75" customHeight="1"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153606.78</v>
      </c>
      <c r="E83" s="73"/>
      <c r="F83" s="156" t="s">
        <v>147</v>
      </c>
      <c r="G83" s="214" t="s">
        <v>149</v>
      </c>
      <c r="H83" s="214"/>
      <c r="I83" s="107">
        <v>144697.05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7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L84" sqref="L8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259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240</v>
      </c>
      <c r="N3" s="244" t="s">
        <v>241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237</v>
      </c>
      <c r="F4" s="247" t="s">
        <v>116</v>
      </c>
      <c r="G4" s="229" t="s">
        <v>238</v>
      </c>
      <c r="H4" s="231" t="s">
        <v>239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260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48"/>
      <c r="G5" s="230"/>
      <c r="H5" s="232"/>
      <c r="I5" s="225"/>
      <c r="J5" s="221"/>
      <c r="K5" s="217" t="s">
        <v>242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19"/>
      <c r="H103" s="219"/>
      <c r="I103" s="219"/>
      <c r="J103" s="219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07"/>
      <c r="O104" s="207"/>
    </row>
    <row r="105" spans="3:15" ht="15.75">
      <c r="C105" s="111">
        <v>42123</v>
      </c>
      <c r="D105" s="34">
        <v>7959.6</v>
      </c>
      <c r="F105" s="201" t="s">
        <v>166</v>
      </c>
      <c r="G105" s="208"/>
      <c r="H105" s="208"/>
      <c r="I105" s="177"/>
      <c r="J105" s="205"/>
      <c r="K105" s="205"/>
      <c r="L105" s="205"/>
      <c r="M105" s="205"/>
      <c r="N105" s="207"/>
      <c r="O105" s="207"/>
    </row>
    <row r="106" spans="3:15" ht="15.75" customHeight="1">
      <c r="C106" s="111">
        <v>42122</v>
      </c>
      <c r="D106" s="34">
        <v>4962.7</v>
      </c>
      <c r="G106" s="214" t="s">
        <v>151</v>
      </c>
      <c r="H106" s="214"/>
      <c r="I106" s="106">
        <v>8909.73221</v>
      </c>
      <c r="J106" s="206"/>
      <c r="K106" s="206"/>
      <c r="L106" s="206"/>
      <c r="M106" s="206"/>
      <c r="N106" s="207"/>
      <c r="O106" s="207"/>
    </row>
    <row r="107" spans="7:13" ht="15.75" customHeight="1">
      <c r="G107" s="215" t="s">
        <v>234</v>
      </c>
      <c r="H107" s="216"/>
      <c r="I107" s="103">
        <v>0</v>
      </c>
      <c r="J107" s="205"/>
      <c r="K107" s="205"/>
      <c r="L107" s="205"/>
      <c r="M107" s="205"/>
    </row>
    <row r="108" spans="2:13" ht="18.75" customHeight="1">
      <c r="B108" s="212" t="s">
        <v>160</v>
      </c>
      <c r="C108" s="213"/>
      <c r="D108" s="108">
        <v>154856.06924</v>
      </c>
      <c r="E108" s="73"/>
      <c r="F108" s="202" t="s">
        <v>147</v>
      </c>
      <c r="G108" s="214" t="s">
        <v>149</v>
      </c>
      <c r="H108" s="214"/>
      <c r="I108" s="107">
        <v>145946.33703</v>
      </c>
      <c r="J108" s="205"/>
      <c r="K108" s="205"/>
      <c r="L108" s="205"/>
      <c r="M108" s="205"/>
    </row>
    <row r="109" spans="7:12" ht="9.75" customHeight="1">
      <c r="G109" s="208"/>
      <c r="H109" s="208"/>
      <c r="I109" s="90"/>
      <c r="J109" s="91"/>
      <c r="K109" s="91"/>
      <c r="L109" s="91"/>
    </row>
    <row r="110" spans="2:12" ht="22.5" customHeight="1" hidden="1">
      <c r="B110" s="209" t="s">
        <v>167</v>
      </c>
      <c r="C110" s="210"/>
      <c r="D110" s="110">
        <v>0</v>
      </c>
      <c r="E110" s="70" t="s">
        <v>104</v>
      </c>
      <c r="G110" s="208"/>
      <c r="H110" s="208"/>
      <c r="I110" s="90"/>
      <c r="J110" s="91"/>
      <c r="K110" s="91"/>
      <c r="L110" s="91"/>
    </row>
    <row r="111" spans="4:15" ht="15.75">
      <c r="D111" s="105"/>
      <c r="N111" s="208"/>
      <c r="O111" s="208"/>
    </row>
    <row r="112" spans="4:15" ht="15.75">
      <c r="D112" s="104"/>
      <c r="I112" s="34"/>
      <c r="N112" s="211"/>
      <c r="O112" s="211"/>
    </row>
    <row r="113" spans="14:15" ht="15.75">
      <c r="N113" s="208"/>
      <c r="O113" s="208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231</v>
      </c>
      <c r="N3" s="244" t="s">
        <v>232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228</v>
      </c>
      <c r="F4" s="227" t="s">
        <v>116</v>
      </c>
      <c r="G4" s="229" t="s">
        <v>229</v>
      </c>
      <c r="H4" s="231" t="s">
        <v>230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236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233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07"/>
      <c r="O105" s="207"/>
    </row>
    <row r="106" spans="3:15" ht="15.75">
      <c r="C106" s="111">
        <v>42093</v>
      </c>
      <c r="D106" s="34">
        <v>8025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42090</v>
      </c>
      <c r="D107" s="34">
        <v>4282.6</v>
      </c>
      <c r="G107" s="214" t="s">
        <v>151</v>
      </c>
      <c r="H107" s="214"/>
      <c r="I107" s="106">
        <f>8909732.21/1000</f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15" t="s">
        <v>234</v>
      </c>
      <c r="H108" s="216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147433239.77/1000</f>
        <v>147433.23977000001</v>
      </c>
      <c r="E109" s="73"/>
      <c r="F109" s="156" t="s">
        <v>147</v>
      </c>
      <c r="G109" s="214" t="s">
        <v>149</v>
      </c>
      <c r="H109" s="214"/>
      <c r="I109" s="107">
        <f>138523507.56/1000</f>
        <v>138523.50756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G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221</v>
      </c>
      <c r="N3" s="244" t="s">
        <v>202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199</v>
      </c>
      <c r="F4" s="227" t="s">
        <v>116</v>
      </c>
      <c r="G4" s="229" t="s">
        <v>200</v>
      </c>
      <c r="H4" s="231" t="s">
        <v>201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226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224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07"/>
      <c r="O105" s="207"/>
    </row>
    <row r="106" spans="3:15" ht="15.75">
      <c r="C106" s="111">
        <v>42061</v>
      </c>
      <c r="D106" s="34">
        <v>6003.3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42060</v>
      </c>
      <c r="D107" s="34">
        <v>1551.3</v>
      </c>
      <c r="G107" s="214" t="s">
        <v>151</v>
      </c>
      <c r="H107" s="214"/>
      <c r="I107" s="106"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49" t="s">
        <v>155</v>
      </c>
      <c r="H108" s="249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138305956.27/1000</f>
        <v>138305.95627000002</v>
      </c>
      <c r="E109" s="73"/>
      <c r="F109" s="156" t="s">
        <v>147</v>
      </c>
      <c r="G109" s="214" t="s">
        <v>149</v>
      </c>
      <c r="H109" s="214"/>
      <c r="I109" s="107">
        <v>129396.23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220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219</v>
      </c>
      <c r="F4" s="227" t="s">
        <v>116</v>
      </c>
      <c r="G4" s="229" t="s">
        <v>173</v>
      </c>
      <c r="H4" s="250" t="s">
        <v>174</v>
      </c>
      <c r="I4" s="252" t="s">
        <v>217</v>
      </c>
      <c r="J4" s="255" t="s">
        <v>218</v>
      </c>
      <c r="K4" s="116" t="s">
        <v>172</v>
      </c>
      <c r="L4" s="121" t="s">
        <v>171</v>
      </c>
      <c r="M4" s="220"/>
      <c r="N4" s="222" t="s">
        <v>194</v>
      </c>
      <c r="O4" s="25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1"/>
      <c r="I5" s="253"/>
      <c r="J5" s="256"/>
      <c r="K5" s="217" t="s">
        <v>188</v>
      </c>
      <c r="L5" s="218"/>
      <c r="M5" s="221"/>
      <c r="N5" s="223"/>
      <c r="O5" s="253"/>
      <c r="P5" s="244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19"/>
      <c r="H102" s="219"/>
      <c r="I102" s="219"/>
      <c r="J102" s="21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07"/>
      <c r="O103" s="207"/>
    </row>
    <row r="104" spans="3:15" ht="15.75">
      <c r="C104" s="111">
        <v>42033</v>
      </c>
      <c r="D104" s="34">
        <v>2896.5</v>
      </c>
      <c r="F104" s="155" t="s">
        <v>166</v>
      </c>
      <c r="G104" s="214" t="s">
        <v>151</v>
      </c>
      <c r="H104" s="214"/>
      <c r="I104" s="106">
        <f>'січень '!I139</f>
        <v>8909.733</v>
      </c>
      <c r="J104" s="254" t="s">
        <v>161</v>
      </c>
      <c r="K104" s="254"/>
      <c r="L104" s="254"/>
      <c r="M104" s="254"/>
      <c r="N104" s="207"/>
      <c r="O104" s="207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7" t="s">
        <v>162</v>
      </c>
      <c r="K105" s="257"/>
      <c r="L105" s="257"/>
      <c r="M105" s="257"/>
      <c r="N105" s="207"/>
      <c r="O105" s="207"/>
    </row>
    <row r="106" spans="7:13" ht="15.75" customHeight="1">
      <c r="G106" s="214" t="s">
        <v>148</v>
      </c>
      <c r="H106" s="214"/>
      <c r="I106" s="103">
        <f>'січень '!I141</f>
        <v>0</v>
      </c>
      <c r="J106" s="254" t="s">
        <v>163</v>
      </c>
      <c r="K106" s="254"/>
      <c r="L106" s="254"/>
      <c r="M106" s="254"/>
    </row>
    <row r="107" spans="2:13" ht="18.75" customHeight="1">
      <c r="B107" s="212" t="s">
        <v>160</v>
      </c>
      <c r="C107" s="213"/>
      <c r="D107" s="108">
        <f>'січень '!D142</f>
        <v>132375.63</v>
      </c>
      <c r="E107" s="73"/>
      <c r="F107" s="156" t="s">
        <v>147</v>
      </c>
      <c r="G107" s="214" t="s">
        <v>149</v>
      </c>
      <c r="H107" s="214"/>
      <c r="I107" s="107">
        <f>'січень '!I142</f>
        <v>123465.893</v>
      </c>
      <c r="J107" s="254" t="s">
        <v>164</v>
      </c>
      <c r="K107" s="254"/>
      <c r="L107" s="254"/>
      <c r="M107" s="254"/>
    </row>
    <row r="108" spans="7:12" ht="9.75" customHeight="1">
      <c r="G108" s="208"/>
      <c r="H108" s="208"/>
      <c r="I108" s="90"/>
      <c r="J108" s="91"/>
      <c r="K108" s="91"/>
      <c r="L108" s="91"/>
    </row>
    <row r="109" spans="2:12" ht="22.5" customHeight="1" hidden="1">
      <c r="B109" s="209" t="s">
        <v>167</v>
      </c>
      <c r="C109" s="210"/>
      <c r="D109" s="110">
        <v>0</v>
      </c>
      <c r="E109" s="70" t="s">
        <v>104</v>
      </c>
      <c r="G109" s="208"/>
      <c r="H109" s="208"/>
      <c r="I109" s="90"/>
      <c r="J109" s="91"/>
      <c r="K109" s="91"/>
      <c r="L109" s="91"/>
    </row>
    <row r="110" spans="4:15" ht="15.75">
      <c r="D110" s="105"/>
      <c r="N110" s="208"/>
      <c r="O110" s="208"/>
    </row>
    <row r="111" spans="4:15" ht="15.75">
      <c r="D111" s="104"/>
      <c r="I111" s="34"/>
      <c r="N111" s="211"/>
      <c r="O111" s="211"/>
    </row>
    <row r="112" spans="14:15" ht="15.75">
      <c r="N112" s="208"/>
      <c r="O112" s="208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1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203</v>
      </c>
      <c r="C3" s="238" t="s">
        <v>0</v>
      </c>
      <c r="D3" s="239" t="s">
        <v>190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187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153</v>
      </c>
      <c r="F4" s="227" t="s">
        <v>116</v>
      </c>
      <c r="G4" s="229" t="s">
        <v>173</v>
      </c>
      <c r="H4" s="250" t="s">
        <v>174</v>
      </c>
      <c r="I4" s="252" t="s">
        <v>186</v>
      </c>
      <c r="J4" s="255" t="s">
        <v>189</v>
      </c>
      <c r="K4" s="116" t="s">
        <v>172</v>
      </c>
      <c r="L4" s="121" t="s">
        <v>171</v>
      </c>
      <c r="M4" s="220"/>
      <c r="N4" s="222" t="s">
        <v>194</v>
      </c>
      <c r="O4" s="252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1"/>
      <c r="I5" s="253"/>
      <c r="J5" s="256"/>
      <c r="K5" s="217" t="s">
        <v>188</v>
      </c>
      <c r="L5" s="218"/>
      <c r="M5" s="221"/>
      <c r="N5" s="223"/>
      <c r="O5" s="253"/>
      <c r="P5" s="244"/>
      <c r="Q5" s="217" t="s">
        <v>176</v>
      </c>
      <c r="R5" s="21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19"/>
      <c r="H137" s="219"/>
      <c r="I137" s="219"/>
      <c r="J137" s="21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07"/>
      <c r="O138" s="207"/>
    </row>
    <row r="139" spans="3:15" ht="15.75">
      <c r="C139" s="111">
        <v>42033</v>
      </c>
      <c r="D139" s="34">
        <v>2896.5</v>
      </c>
      <c r="F139" s="155" t="s">
        <v>166</v>
      </c>
      <c r="G139" s="214" t="s">
        <v>151</v>
      </c>
      <c r="H139" s="214"/>
      <c r="I139" s="106">
        <f>8909.733</f>
        <v>8909.733</v>
      </c>
      <c r="J139" s="254" t="s">
        <v>161</v>
      </c>
      <c r="K139" s="254"/>
      <c r="L139" s="254"/>
      <c r="M139" s="254"/>
      <c r="N139" s="207"/>
      <c r="O139" s="207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7" t="s">
        <v>162</v>
      </c>
      <c r="K140" s="257"/>
      <c r="L140" s="257"/>
      <c r="M140" s="257"/>
      <c r="N140" s="207"/>
      <c r="O140" s="207"/>
    </row>
    <row r="141" spans="7:13" ht="15.75" customHeight="1">
      <c r="G141" s="214" t="s">
        <v>148</v>
      </c>
      <c r="H141" s="214"/>
      <c r="I141" s="103">
        <v>0</v>
      </c>
      <c r="J141" s="254" t="s">
        <v>163</v>
      </c>
      <c r="K141" s="254"/>
      <c r="L141" s="254"/>
      <c r="M141" s="254"/>
    </row>
    <row r="142" spans="2:13" ht="18.75" customHeight="1">
      <c r="B142" s="212" t="s">
        <v>160</v>
      </c>
      <c r="C142" s="213"/>
      <c r="D142" s="108">
        <f>132375.63</f>
        <v>132375.63</v>
      </c>
      <c r="E142" s="73"/>
      <c r="F142" s="156" t="s">
        <v>147</v>
      </c>
      <c r="G142" s="214" t="s">
        <v>149</v>
      </c>
      <c r="H142" s="214"/>
      <c r="I142" s="107">
        <f>123465.893</f>
        <v>123465.893</v>
      </c>
      <c r="J142" s="254" t="s">
        <v>164</v>
      </c>
      <c r="K142" s="254"/>
      <c r="L142" s="254"/>
      <c r="M142" s="254"/>
    </row>
    <row r="143" spans="7:12" ht="9.75" customHeight="1">
      <c r="G143" s="208"/>
      <c r="H143" s="208"/>
      <c r="I143" s="90"/>
      <c r="J143" s="91"/>
      <c r="K143" s="91"/>
      <c r="L143" s="91"/>
    </row>
    <row r="144" spans="2:12" ht="22.5" customHeight="1" hidden="1">
      <c r="B144" s="209" t="s">
        <v>167</v>
      </c>
      <c r="C144" s="210"/>
      <c r="D144" s="110">
        <v>0</v>
      </c>
      <c r="E144" s="70" t="s">
        <v>104</v>
      </c>
      <c r="G144" s="208"/>
      <c r="H144" s="208"/>
      <c r="I144" s="90"/>
      <c r="J144" s="91"/>
      <c r="K144" s="91"/>
      <c r="L144" s="91"/>
    </row>
    <row r="145" spans="4:15" ht="15.75">
      <c r="D145" s="105"/>
      <c r="N145" s="208"/>
      <c r="O145" s="208"/>
    </row>
    <row r="146" spans="4:15" ht="15.75">
      <c r="D146" s="104"/>
      <c r="I146" s="34"/>
      <c r="N146" s="211"/>
      <c r="O146" s="211"/>
    </row>
    <row r="147" spans="14:15" ht="15.75">
      <c r="N147" s="208"/>
      <c r="O147" s="20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2015-07-02T10:26:35Z</cp:lastPrinted>
  <dcterms:created xsi:type="dcterms:W3CDTF">2003-07-28T11:27:56Z</dcterms:created>
  <dcterms:modified xsi:type="dcterms:W3CDTF">2015-07-02T12:04:27Z</dcterms:modified>
  <cp:category/>
  <cp:version/>
  <cp:contentType/>
  <cp:contentStatus/>
</cp:coreProperties>
</file>